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1 Zamestnanec - Employee" sheetId="1" state="visible" r:id="rId2"/>
    <sheet name="2021 OSVC - sole entrepreneur" sheetId="2" state="visible" r:id="rId3"/>
    <sheet name="2020 Zamestnanec - Employee" sheetId="3" state="visible" r:id="rId4"/>
    <sheet name="2020 OSVC - sole entrepreneur" sheetId="4" state="visible" r:id="rId5"/>
    <sheet name="2020 Srovnani" sheetId="5" state="visible" r:id="rId6"/>
  </sheets>
  <externalReferences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<sst xmlns="http://schemas.openxmlformats.org/spreadsheetml/2006/main" count="187" uniqueCount="73">
  <si>
    <t xml:space="preserve">Kalkulace mzdy zaměstnance v Kč roce 2021</t>
  </si>
  <si>
    <t xml:space="preserve">Employee salary calculation in CZK in 2021</t>
  </si>
  <si>
    <t xml:space="preserve">CZK/EUR</t>
  </si>
  <si>
    <t xml:space="preserve">EUR</t>
  </si>
  <si>
    <t xml:space="preserve">Měsíc</t>
  </si>
  <si>
    <t xml:space="preserve">Rok</t>
  </si>
  <si>
    <t xml:space="preserve">Month</t>
  </si>
  <si>
    <t xml:space="preserve">Year</t>
  </si>
  <si>
    <t xml:space="preserve">Hrubá mzda</t>
  </si>
  <si>
    <t xml:space="preserve">Gross salary</t>
  </si>
  <si>
    <t xml:space="preserve">Daň do limitu sazba 15%</t>
  </si>
  <si>
    <t xml:space="preserve">Tax below limit – rate 15%</t>
  </si>
  <si>
    <t xml:space="preserve">Daň nad limit sazba 23%</t>
  </si>
  <si>
    <t xml:space="preserve">Tax above limit – rate 23%</t>
  </si>
  <si>
    <t xml:space="preserve">Daňová sleva na poplatníka</t>
  </si>
  <si>
    <t xml:space="preserve">Tax discount per person</t>
  </si>
  <si>
    <t xml:space="preserve">Sociální pojištění zaměstnance</t>
  </si>
  <si>
    <t xml:space="preserve">Employee social insurance</t>
  </si>
  <si>
    <t xml:space="preserve">Zdravotní pojištění zaměstnance</t>
  </si>
  <si>
    <t xml:space="preserve">Employee health insurance</t>
  </si>
  <si>
    <t xml:space="preserve">Čistá mzda</t>
  </si>
  <si>
    <t xml:space="preserve">Net salary</t>
  </si>
  <si>
    <t xml:space="preserve">Sociální pojištění zaměstnavatele</t>
  </si>
  <si>
    <t xml:space="preserve">Employer social insurance</t>
  </si>
  <si>
    <t xml:space="preserve">Zdravotní pojištění zaměstnavatele</t>
  </si>
  <si>
    <t xml:space="preserve">Employer health insurance</t>
  </si>
  <si>
    <t xml:space="preserve">Celkový náklad zaměstnavatele</t>
  </si>
  <si>
    <t xml:space="preserve">Total employer expense</t>
  </si>
  <si>
    <t xml:space="preserve">Maximální vyměřovací limit sociální</t>
  </si>
  <si>
    <t xml:space="preserve">Maximum social insurance base</t>
  </si>
  <si>
    <t xml:space="preserve">Maximální vyměřovací limit zdravotní</t>
  </si>
  <si>
    <t xml:space="preserve">Maximum health insurance base</t>
  </si>
  <si>
    <t xml:space="preserve">no limit</t>
  </si>
  <si>
    <t xml:space="preserve">Limit pro vyšší sazbu daně</t>
  </si>
  <si>
    <t xml:space="preserve">Higher tax rate limit</t>
  </si>
  <si>
    <t xml:space="preserve">Kalkulace čistého zisku OSVČ v Kč v roce 2021</t>
  </si>
  <si>
    <t xml:space="preserve">Sole entrepreneur  - profit calculation in CZK in 2021</t>
  </si>
  <si>
    <t xml:space="preserve">Fakturace (Hrubá mzda)</t>
  </si>
  <si>
    <t xml:space="preserve">Gross payment</t>
  </si>
  <si>
    <t xml:space="preserve">Náklady procentem</t>
  </si>
  <si>
    <t xml:space="preserve">Expenses by percentage</t>
  </si>
  <si>
    <t xml:space="preserve">Hrubý zisk (daňový základ)</t>
  </si>
  <si>
    <t xml:space="preserve">Gross profit (tax base)</t>
  </si>
  <si>
    <t xml:space="preserve">Sociální pojištění</t>
  </si>
  <si>
    <t xml:space="preserve">Social insurance</t>
  </si>
  <si>
    <t xml:space="preserve">Zdravotní pojištění</t>
  </si>
  <si>
    <t xml:space="preserve">Health insurance</t>
  </si>
  <si>
    <t xml:space="preserve">Čistý zisk</t>
  </si>
  <si>
    <t xml:space="preserve">Net profit</t>
  </si>
  <si>
    <t xml:space="preserve">Náklady odběratele (zaměstnavatele) celkem</t>
  </si>
  <si>
    <t xml:space="preserve">Total customer (employer) expense</t>
  </si>
  <si>
    <t xml:space="preserve">Maximální paušální výdaje</t>
  </si>
  <si>
    <t xml:space="preserve">Maximum fixed expenses</t>
  </si>
  <si>
    <t xml:space="preserve">Minimální vyměřovací základ sociální</t>
  </si>
  <si>
    <t xml:space="preserve">Minimum base social insurance</t>
  </si>
  <si>
    <t xml:space="preserve">Minimální vyměřovací základ zdravotní</t>
  </si>
  <si>
    <t xml:space="preserve">Minimum base health insurance</t>
  </si>
  <si>
    <t xml:space="preserve">Kalkulace mzdy zaměstnance v Kč roce 2020</t>
  </si>
  <si>
    <t xml:space="preserve">Employee salary calculation in CZK in 2020</t>
  </si>
  <si>
    <t xml:space="preserve">Základní daň zaměstnance</t>
  </si>
  <si>
    <t xml:space="preserve">Employee basic tax</t>
  </si>
  <si>
    <t xml:space="preserve">Solidární daň</t>
  </si>
  <si>
    <t xml:space="preserve">Solidarity tax</t>
  </si>
  <si>
    <t xml:space="preserve">Limit pro solidární daň</t>
  </si>
  <si>
    <t xml:space="preserve">Solidarty tax limit</t>
  </si>
  <si>
    <t xml:space="preserve">Kalkulace čistého zisku OSVČ v Kč v roce 2020</t>
  </si>
  <si>
    <t xml:space="preserve">Sole entrepreneur  - profit calculation in CZK in 2020</t>
  </si>
  <si>
    <t xml:space="preserve">Základní daň</t>
  </si>
  <si>
    <t xml:space="preserve">Tax</t>
  </si>
  <si>
    <t xml:space="preserve">Náklady zaměstnavatele celkem</t>
  </si>
  <si>
    <t xml:space="preserve">Kalkulace mzdy zaměstnance v Kč</t>
  </si>
  <si>
    <t xml:space="preserve">Kalkulace čistého zisku OSVČ v Kč</t>
  </si>
  <si>
    <t xml:space="preserve">Maximální vyměřovací základ zdravotní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</si>
</sst>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#,##0"/>
  </numFmts>
  <fonts count="7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name val="Arial"/>
      <family val="2"/>
      <charset val="238"/>
    </font>
    <font>
      <b val="true"/>
      <sz val="10"/>
      <name val="Arial"/>
      <family val="2"/>
      <charset val="238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E6E6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CC00"/>
        <bgColor rgb="FFFFFF00"/>
      </patternFill>
    </fill>
    <fill>
      <patternFill patternType="solid">
        <fgColor rgb="FF0000FF"/>
        <bgColor rgb="FF0000FF"/>
      </patternFill>
    </fill>
    <fill>
      <patternFill patternType="solid">
        <fgColor rgb="FFFFFF99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5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5" fillId="5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6" fontId="5" fillId="2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externalLink" Target="externalLinks/externalLink1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2020_kalkulacemzdy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mestnanec - Employee - CZK"/>
      <sheetName val="OSVC - sole entrepreneur - CZK"/>
      <sheetName val="Srovnani"/>
    </sheetNames>
    <sheetDataSet>
      <sheetData sheetId="0">
        <row r="19">
          <cell r="E19">
            <v>1672080</v>
          </cell>
        </row>
        <row r="20">
          <cell r="E20">
            <v>999999999</v>
          </cell>
        </row>
        <row r="21">
          <cell r="E21">
            <v>1672080</v>
          </cell>
        </row>
      </sheetData>
      <sheetData sheetId="1">
        <row r="20">
          <cell r="E20">
            <v>1672080</v>
          </cell>
        </row>
        <row r="21">
          <cell r="E21">
            <v>999999999</v>
          </cell>
        </row>
        <row r="22">
          <cell r="E22">
            <v>1672080</v>
          </cell>
        </row>
        <row r="23">
          <cell r="E23">
            <v>104508</v>
          </cell>
        </row>
        <row r="24">
          <cell r="E24">
            <v>209006</v>
          </cell>
        </row>
      </sheetData>
      <sheetData sheetId="2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2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32.12"/>
    <col collapsed="false" customWidth="true" hidden="false" outlineLevel="0" max="2" min="2" style="0" width="28.86"/>
    <col collapsed="false" customWidth="false" hidden="false" outlineLevel="0" max="3" min="3" style="1" width="11.57"/>
    <col collapsed="false" customWidth="false" hidden="false" outlineLevel="0" max="4" min="4" style="2" width="11.57"/>
    <col collapsed="false" customWidth="true" hidden="false" outlineLevel="0" max="5" min="5" style="2" width="14.4"/>
    <col collapsed="false" customWidth="true" hidden="false" outlineLevel="0" max="1025" min="6" style="0" width="11.06"/>
  </cols>
  <sheetData>
    <row r="1" customFormat="false" ht="31.3" hidden="false" customHeight="true" outlineLevel="0" collapsed="false">
      <c r="A1" s="3" t="s">
        <v>0</v>
      </c>
      <c r="B1" s="3" t="s">
        <v>1</v>
      </c>
      <c r="C1" s="4"/>
      <c r="D1" s="5"/>
      <c r="E1" s="5"/>
      <c r="G1" s="6" t="s">
        <v>2</v>
      </c>
      <c r="H1" s="6"/>
    </row>
    <row r="2" customFormat="false" ht="12.75" hidden="false" customHeight="true" outlineLevel="0" collapsed="false">
      <c r="A2" s="7"/>
      <c r="B2" s="8"/>
      <c r="C2" s="4"/>
      <c r="D2" s="5"/>
      <c r="E2" s="5"/>
      <c r="G2" s="9" t="n">
        <v>26.245</v>
      </c>
      <c r="H2" s="9" t="s">
        <v>3</v>
      </c>
    </row>
    <row r="3" customFormat="false" ht="12.75" hidden="false" customHeight="true" outlineLevel="0" collapsed="false">
      <c r="A3" s="7"/>
      <c r="B3" s="10"/>
      <c r="C3" s="4"/>
      <c r="D3" s="11" t="s">
        <v>4</v>
      </c>
      <c r="E3" s="11" t="s">
        <v>5</v>
      </c>
      <c r="G3" s="6"/>
      <c r="H3" s="6"/>
    </row>
    <row r="4" customFormat="false" ht="12.75" hidden="false" customHeight="true" outlineLevel="0" collapsed="false">
      <c r="A4" s="7"/>
      <c r="B4" s="7"/>
      <c r="C4" s="4"/>
      <c r="D4" s="12" t="s">
        <v>6</v>
      </c>
      <c r="E4" s="12" t="s">
        <v>7</v>
      </c>
      <c r="G4" s="6" t="str">
        <f aca="false">D4</f>
        <v>Month</v>
      </c>
      <c r="H4" s="6" t="str">
        <f aca="false">E4</f>
        <v>Year</v>
      </c>
    </row>
    <row r="5" s="16" customFormat="true" ht="12.75" hidden="false" customHeight="true" outlineLevel="0" collapsed="false">
      <c r="A5" s="10" t="s">
        <v>8</v>
      </c>
      <c r="B5" s="10" t="s">
        <v>9</v>
      </c>
      <c r="C5" s="13"/>
      <c r="D5" s="14" t="n">
        <v>30000</v>
      </c>
      <c r="E5" s="15" t="n">
        <f aca="false">D5*12</f>
        <v>360000</v>
      </c>
      <c r="G5" s="17" t="n">
        <f aca="false">D5/$G$2</f>
        <v>1143.07487140408</v>
      </c>
      <c r="H5" s="17" t="n">
        <f aca="false">E5/$G$2</f>
        <v>13716.8984568489</v>
      </c>
    </row>
    <row r="6" customFormat="false" ht="12.75" hidden="false" customHeight="true" outlineLevel="0" collapsed="false">
      <c r="A6" s="7" t="s">
        <v>10</v>
      </c>
      <c r="B6" s="7" t="s">
        <v>11</v>
      </c>
      <c r="C6" s="4" t="n">
        <v>0.15</v>
      </c>
      <c r="D6" s="5" t="n">
        <f aca="false">E6/12</f>
        <v>-4500</v>
      </c>
      <c r="E6" s="5" t="n">
        <f aca="false">-IF(E5&lt;=E21,ROUNDDOWN(E5,-2)*C6,ROUNDDOWN((E21),-2)*C6)</f>
        <v>-54000</v>
      </c>
      <c r="G6" s="18" t="n">
        <f aca="false">D6/$G$2</f>
        <v>-171.461230710612</v>
      </c>
      <c r="H6" s="18" t="n">
        <f aca="false">E6/$G$2</f>
        <v>-2057.53476852734</v>
      </c>
    </row>
    <row r="7" customFormat="false" ht="12.75" hidden="false" customHeight="true" outlineLevel="0" collapsed="false">
      <c r="A7" s="7" t="s">
        <v>12</v>
      </c>
      <c r="B7" s="7" t="s">
        <v>13</v>
      </c>
      <c r="C7" s="4" t="n">
        <v>0.23</v>
      </c>
      <c r="D7" s="5" t="n">
        <f aca="false">E7/12</f>
        <v>-0</v>
      </c>
      <c r="E7" s="19" t="n">
        <f aca="false">-IF(E5&lt;=E21,0,ROUNDDOWN((E5-E21),-2)*C7)</f>
        <v>-0</v>
      </c>
      <c r="G7" s="18" t="n">
        <f aca="false">D7/$G$2</f>
        <v>-0</v>
      </c>
      <c r="H7" s="18" t="n">
        <f aca="false">E7/$G$2</f>
        <v>-0</v>
      </c>
    </row>
    <row r="8" customFormat="false" ht="12.75" hidden="false" customHeight="true" outlineLevel="0" collapsed="false">
      <c r="A8" s="7" t="s">
        <v>14</v>
      </c>
      <c r="B8" s="7" t="s">
        <v>15</v>
      </c>
      <c r="C8" s="4"/>
      <c r="D8" s="5" t="n">
        <f aca="false">E8/12</f>
        <v>2320</v>
      </c>
      <c r="E8" s="5" t="n">
        <f aca="false">IF(-E6&gt;E22,E22,-E6)</f>
        <v>27840</v>
      </c>
      <c r="G8" s="18" t="n">
        <f aca="false">D8/$G$2</f>
        <v>88.3977900552486</v>
      </c>
      <c r="H8" s="18" t="n">
        <f aca="false">E8/$G$2</f>
        <v>1060.77348066298</v>
      </c>
    </row>
    <row r="9" customFormat="false" ht="12.75" hidden="false" customHeight="true" outlineLevel="0" collapsed="false">
      <c r="A9" s="7" t="s">
        <v>16</v>
      </c>
      <c r="B9" s="7" t="s">
        <v>17</v>
      </c>
      <c r="C9" s="4" t="n">
        <v>0.065</v>
      </c>
      <c r="D9" s="5" t="n">
        <f aca="false">E9/12</f>
        <v>-1950</v>
      </c>
      <c r="E9" s="5" t="n">
        <f aca="false">-IF(E5&gt;E19,E19*C9,E5*C9)</f>
        <v>-23400</v>
      </c>
      <c r="F9" s="2"/>
      <c r="G9" s="18" t="n">
        <f aca="false">D9/$G$2</f>
        <v>-74.299866641265</v>
      </c>
      <c r="H9" s="18" t="n">
        <f aca="false">E9/$G$2</f>
        <v>-891.59839969518</v>
      </c>
    </row>
    <row r="10" customFormat="false" ht="12.75" hidden="false" customHeight="true" outlineLevel="0" collapsed="false">
      <c r="A10" s="7" t="s">
        <v>18</v>
      </c>
      <c r="B10" s="7" t="s">
        <v>19</v>
      </c>
      <c r="C10" s="4" t="n">
        <v>0.045</v>
      </c>
      <c r="D10" s="5" t="n">
        <f aca="false">E10/12</f>
        <v>-1350</v>
      </c>
      <c r="E10" s="5" t="n">
        <f aca="false">-IF(E5&gt;E20,E20*C10,E5*C10)</f>
        <v>-16200</v>
      </c>
      <c r="F10" s="2"/>
      <c r="G10" s="18" t="n">
        <f aca="false">D10/$G$2</f>
        <v>-51.4383692131835</v>
      </c>
      <c r="H10" s="18" t="n">
        <f aca="false">E10/$G$2</f>
        <v>-617.260430558202</v>
      </c>
    </row>
    <row r="11" customFormat="false" ht="12.75" hidden="false" customHeight="true" outlineLevel="0" collapsed="false">
      <c r="A11" s="7"/>
      <c r="B11" s="7"/>
      <c r="C11" s="4"/>
      <c r="D11" s="5"/>
      <c r="E11" s="5"/>
      <c r="F11" s="2"/>
      <c r="G11" s="20"/>
      <c r="H11" s="20"/>
    </row>
    <row r="12" s="16" customFormat="true" ht="12.75" hidden="false" customHeight="true" outlineLevel="0" collapsed="false">
      <c r="A12" s="21" t="s">
        <v>20</v>
      </c>
      <c r="B12" s="21" t="s">
        <v>21</v>
      </c>
      <c r="C12" s="22"/>
      <c r="D12" s="23" t="n">
        <f aca="false">SUM(D5:D11)</f>
        <v>24520</v>
      </c>
      <c r="E12" s="23" t="n">
        <f aca="false">SUM(E5:E11)</f>
        <v>294240</v>
      </c>
      <c r="G12" s="17" t="n">
        <f aca="false">D12/$G$2</f>
        <v>934.273194894266</v>
      </c>
      <c r="H12" s="17" t="n">
        <f aca="false">E12/$G$2</f>
        <v>11211.2783387312</v>
      </c>
    </row>
    <row r="13" customFormat="false" ht="12.75" hidden="false" customHeight="true" outlineLevel="0" collapsed="false">
      <c r="A13" s="7"/>
      <c r="B13" s="7"/>
      <c r="C13" s="4"/>
      <c r="D13" s="5"/>
      <c r="E13" s="5"/>
      <c r="G13" s="20"/>
      <c r="H13" s="20"/>
    </row>
    <row r="14" customFormat="false" ht="12.75" hidden="false" customHeight="true" outlineLevel="0" collapsed="false">
      <c r="A14" s="7" t="s">
        <v>22</v>
      </c>
      <c r="B14" s="7" t="s">
        <v>23</v>
      </c>
      <c r="C14" s="4" t="n">
        <v>0.248</v>
      </c>
      <c r="D14" s="5" t="n">
        <f aca="false">E14/12</f>
        <v>7440</v>
      </c>
      <c r="E14" s="5" t="n">
        <f aca="false">IF(E5&gt;E19,E19*C14,E5*C14)</f>
        <v>89280</v>
      </c>
      <c r="F14" s="2"/>
      <c r="G14" s="18" t="n">
        <f aca="false">D14/$G$2</f>
        <v>283.482568108211</v>
      </c>
      <c r="H14" s="18" t="n">
        <f aca="false">E14/$G$2</f>
        <v>3401.79081729853</v>
      </c>
    </row>
    <row r="15" customFormat="false" ht="12.75" hidden="false" customHeight="true" outlineLevel="0" collapsed="false">
      <c r="A15" s="7" t="s">
        <v>24</v>
      </c>
      <c r="B15" s="7" t="s">
        <v>25</v>
      </c>
      <c r="C15" s="4" t="n">
        <v>0.09</v>
      </c>
      <c r="D15" s="5" t="n">
        <f aca="false">E15/12</f>
        <v>2700</v>
      </c>
      <c r="E15" s="5" t="n">
        <f aca="false">IF(E5&gt;E20,E20*C15,E5*C15)</f>
        <v>32400</v>
      </c>
      <c r="F15" s="2"/>
      <c r="G15" s="18" t="n">
        <f aca="false">D15/$G$2</f>
        <v>102.876738426367</v>
      </c>
      <c r="H15" s="18" t="n">
        <f aca="false">E15/$G$2</f>
        <v>1234.5208611164</v>
      </c>
    </row>
    <row r="16" customFormat="false" ht="12.75" hidden="false" customHeight="true" outlineLevel="0" collapsed="false">
      <c r="A16" s="7"/>
      <c r="B16" s="7"/>
      <c r="C16" s="4"/>
      <c r="D16" s="5"/>
      <c r="E16" s="5"/>
      <c r="G16" s="20"/>
      <c r="H16" s="20"/>
    </row>
    <row r="17" s="16" customFormat="true" ht="12.75" hidden="false" customHeight="true" outlineLevel="0" collapsed="false">
      <c r="A17" s="24" t="s">
        <v>26</v>
      </c>
      <c r="B17" s="24" t="s">
        <v>27</v>
      </c>
      <c r="C17" s="25"/>
      <c r="D17" s="26" t="n">
        <f aca="false">D5+D14+D15</f>
        <v>40140</v>
      </c>
      <c r="E17" s="26" t="n">
        <f aca="false">E5+E14+E15</f>
        <v>481680</v>
      </c>
      <c r="G17" s="17" t="n">
        <f aca="false">D17/$G$2</f>
        <v>1529.43417793866</v>
      </c>
      <c r="H17" s="17" t="n">
        <f aca="false">E17/$G$2</f>
        <v>18353.2101352639</v>
      </c>
    </row>
    <row r="18" customFormat="false" ht="12.75" hidden="false" customHeight="true" outlineLevel="0" collapsed="false">
      <c r="A18" s="7"/>
      <c r="B18" s="7"/>
      <c r="C18" s="4"/>
      <c r="D18" s="5"/>
      <c r="E18" s="5"/>
      <c r="G18" s="6"/>
      <c r="H18" s="6"/>
    </row>
    <row r="19" customFormat="false" ht="12.75" hidden="false" customHeight="true" outlineLevel="0" collapsed="false">
      <c r="A19" s="7" t="s">
        <v>28</v>
      </c>
      <c r="B19" s="27" t="s">
        <v>29</v>
      </c>
      <c r="C19" s="28"/>
      <c r="D19" s="29"/>
      <c r="E19" s="29" t="n">
        <v>1701168</v>
      </c>
      <c r="G19" s="18"/>
      <c r="H19" s="18" t="n">
        <f aca="false">E19/$G$2</f>
        <v>64818.746427891</v>
      </c>
    </row>
    <row r="20" customFormat="false" ht="12.75" hidden="false" customHeight="true" outlineLevel="0" collapsed="false">
      <c r="A20" s="7" t="s">
        <v>30</v>
      </c>
      <c r="B20" s="27" t="s">
        <v>31</v>
      </c>
      <c r="C20" s="28"/>
      <c r="D20" s="29"/>
      <c r="E20" s="29" t="n">
        <v>999999999</v>
      </c>
      <c r="F20" s="0" t="s">
        <v>32</v>
      </c>
      <c r="G20" s="18"/>
      <c r="H20" s="18" t="n">
        <f aca="false">E20</f>
        <v>999999999</v>
      </c>
    </row>
    <row r="21" customFormat="false" ht="12.75" hidden="false" customHeight="true" outlineLevel="0" collapsed="false">
      <c r="A21" s="7" t="s">
        <v>33</v>
      </c>
      <c r="B21" s="7" t="s">
        <v>34</v>
      </c>
      <c r="C21" s="4"/>
      <c r="D21" s="5"/>
      <c r="E21" s="29" t="n">
        <v>1701168</v>
      </c>
      <c r="F21" s="30"/>
      <c r="G21" s="18"/>
      <c r="H21" s="18" t="n">
        <f aca="false">E21/$G$2</f>
        <v>64818.746427891</v>
      </c>
    </row>
    <row r="22" customFormat="false" ht="12.8" hidden="false" customHeight="false" outlineLevel="0" collapsed="false">
      <c r="A22" s="7" t="s">
        <v>14</v>
      </c>
      <c r="B22" s="7" t="s">
        <v>15</v>
      </c>
      <c r="C22" s="4"/>
      <c r="D22" s="5"/>
      <c r="E22" s="5" t="n">
        <v>27840</v>
      </c>
    </row>
  </sheetData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2" activeCellId="0" sqref="E12"/>
    </sheetView>
  </sheetViews>
  <sheetFormatPr defaultRowHeight="12.75" zeroHeight="false" outlineLevelRow="0" outlineLevelCol="0"/>
  <cols>
    <col collapsed="false" customWidth="true" hidden="false" outlineLevel="0" max="1" min="1" style="0" width="33.26"/>
    <col collapsed="false" customWidth="true" hidden="false" outlineLevel="0" max="2" min="2" style="0" width="27.73"/>
    <col collapsed="false" customWidth="false" hidden="false" outlineLevel="0" max="3" min="3" style="1" width="11.57"/>
    <col collapsed="false" customWidth="false" hidden="false" outlineLevel="0" max="5" min="4" style="2" width="11.57"/>
    <col collapsed="false" customWidth="true" hidden="false" outlineLevel="0" max="6" min="6" style="0" width="11.06"/>
    <col collapsed="false" customWidth="true" hidden="false" outlineLevel="0" max="7" min="7" style="0" width="12.67"/>
    <col collapsed="false" customWidth="true" hidden="false" outlineLevel="0" max="1025" min="8" style="0" width="11.06"/>
  </cols>
  <sheetData>
    <row r="1" customFormat="false" ht="45.5" hidden="false" customHeight="true" outlineLevel="0" collapsed="false">
      <c r="A1" s="3" t="s">
        <v>35</v>
      </c>
      <c r="B1" s="3" t="s">
        <v>36</v>
      </c>
      <c r="C1" s="4"/>
      <c r="D1" s="5"/>
      <c r="E1" s="5"/>
      <c r="G1" s="6" t="s">
        <v>2</v>
      </c>
      <c r="H1" s="6"/>
    </row>
    <row r="2" customFormat="false" ht="12.75" hidden="false" customHeight="true" outlineLevel="0" collapsed="false">
      <c r="A2" s="7"/>
      <c r="B2" s="8"/>
      <c r="C2" s="4"/>
      <c r="D2" s="5"/>
      <c r="E2" s="5"/>
      <c r="G2" s="9" t="n">
        <f aca="false">'2021 Zamestnanec - Employee'!G2</f>
        <v>26.245</v>
      </c>
      <c r="H2" s="9" t="s">
        <v>3</v>
      </c>
    </row>
    <row r="3" customFormat="false" ht="12.75" hidden="false" customHeight="true" outlineLevel="0" collapsed="false">
      <c r="A3" s="7"/>
      <c r="B3" s="10"/>
      <c r="C3" s="4"/>
      <c r="D3" s="11" t="s">
        <v>4</v>
      </c>
      <c r="E3" s="11" t="s">
        <v>5</v>
      </c>
      <c r="G3" s="6"/>
      <c r="H3" s="6"/>
    </row>
    <row r="4" customFormat="false" ht="12.75" hidden="false" customHeight="true" outlineLevel="0" collapsed="false">
      <c r="A4" s="7"/>
      <c r="B4" s="7"/>
      <c r="C4" s="4"/>
      <c r="D4" s="11" t="s">
        <v>6</v>
      </c>
      <c r="E4" s="11" t="s">
        <v>7</v>
      </c>
      <c r="G4" s="6" t="str">
        <f aca="false">D4</f>
        <v>Month</v>
      </c>
      <c r="H4" s="6" t="str">
        <f aca="false">E4</f>
        <v>Year</v>
      </c>
    </row>
    <row r="5" s="16" customFormat="true" ht="12.75" hidden="false" customHeight="true" outlineLevel="0" collapsed="false">
      <c r="A5" s="10" t="s">
        <v>37</v>
      </c>
      <c r="B5" s="10" t="s">
        <v>38</v>
      </c>
      <c r="C5" s="13"/>
      <c r="D5" s="14" t="n">
        <v>40140</v>
      </c>
      <c r="E5" s="15" t="n">
        <f aca="false">D5*12</f>
        <v>481680</v>
      </c>
      <c r="G5" s="17" t="n">
        <f aca="false">D5/$G$2</f>
        <v>1529.43417793866</v>
      </c>
      <c r="H5" s="17" t="n">
        <f aca="false">E5/$G$2</f>
        <v>18353.2101352639</v>
      </c>
    </row>
    <row r="6" customFormat="false" ht="12.75" hidden="false" customHeight="true" outlineLevel="0" collapsed="false">
      <c r="A6" s="7" t="s">
        <v>39</v>
      </c>
      <c r="B6" s="7" t="s">
        <v>40</v>
      </c>
      <c r="C6" s="4" t="n">
        <v>0.6</v>
      </c>
      <c r="D6" s="5" t="n">
        <f aca="false">E6/12</f>
        <v>-24084</v>
      </c>
      <c r="E6" s="5" t="n">
        <f aca="false">IF((-E5*C6)&gt;E24,E24,(-E5*C6))</f>
        <v>-289008</v>
      </c>
      <c r="G6" s="18" t="n">
        <f aca="false">D6/$G$2</f>
        <v>-917.660506763193</v>
      </c>
      <c r="H6" s="18" t="n">
        <f aca="false">E6/$G$2</f>
        <v>-11011.9260811583</v>
      </c>
    </row>
    <row r="7" customFormat="false" ht="12.75" hidden="false" customHeight="true" outlineLevel="0" collapsed="false">
      <c r="A7" s="10" t="s">
        <v>41</v>
      </c>
      <c r="B7" s="10" t="s">
        <v>42</v>
      </c>
      <c r="C7" s="13"/>
      <c r="D7" s="15" t="n">
        <f aca="false">SUM(D5:D6)</f>
        <v>16056</v>
      </c>
      <c r="E7" s="15" t="n">
        <f aca="false">SUM(E5:E6)</f>
        <v>192672</v>
      </c>
      <c r="G7" s="17" t="n">
        <f aca="false">D7/$G$2</f>
        <v>611.773671175462</v>
      </c>
      <c r="H7" s="17" t="n">
        <f aca="false">E7/$G$2</f>
        <v>7341.28405410554</v>
      </c>
    </row>
    <row r="8" customFormat="false" ht="12.75" hidden="false" customHeight="true" outlineLevel="0" collapsed="false">
      <c r="A8" s="7"/>
      <c r="B8" s="10"/>
      <c r="C8" s="13"/>
      <c r="D8" s="15"/>
      <c r="E8" s="15"/>
      <c r="G8" s="17"/>
      <c r="H8" s="17"/>
    </row>
    <row r="9" customFormat="false" ht="12.75" hidden="false" customHeight="true" outlineLevel="0" collapsed="false">
      <c r="A9" s="7" t="s">
        <v>43</v>
      </c>
      <c r="B9" s="27" t="s">
        <v>44</v>
      </c>
      <c r="C9" s="28" t="n">
        <v>0.292</v>
      </c>
      <c r="D9" s="29" t="n">
        <f aca="false">E9/12</f>
        <v>-2587.412</v>
      </c>
      <c r="E9" s="29" t="n">
        <f aca="false">-IF(E7/2&gt;E20,E20*C9,IF(E7/2&lt;E25,E25*C9,E7/2*C9))</f>
        <v>-31048.944</v>
      </c>
      <c r="G9" s="18" t="n">
        <f aca="false">D9/$G$2</f>
        <v>-98.5868546389788</v>
      </c>
      <c r="H9" s="18" t="n">
        <f aca="false">E9/$G$2</f>
        <v>-1183.04225566775</v>
      </c>
    </row>
    <row r="10" customFormat="false" ht="12.75" hidden="false" customHeight="true" outlineLevel="0" collapsed="false">
      <c r="A10" s="7" t="s">
        <v>45</v>
      </c>
      <c r="B10" s="27" t="s">
        <v>46</v>
      </c>
      <c r="C10" s="28" t="n">
        <v>0.135</v>
      </c>
      <c r="D10" s="29" t="n">
        <f aca="false">E10/12</f>
        <v>-2392.335</v>
      </c>
      <c r="E10" s="29" t="n">
        <f aca="false">-IF(E7/2&gt;E21,E21*C10,IF(E7/2&lt;E26,E26*C10,E7/2*C10))</f>
        <v>-28708.02</v>
      </c>
      <c r="G10" s="18" t="n">
        <f aca="false">D10/$G$2</f>
        <v>-91.1539340826824</v>
      </c>
      <c r="H10" s="18" t="n">
        <f aca="false">E10/$G$2</f>
        <v>-1093.84720899219</v>
      </c>
    </row>
    <row r="11" customFormat="false" ht="12.75" hidden="false" customHeight="true" outlineLevel="0" collapsed="false">
      <c r="A11" s="7"/>
      <c r="B11" s="7"/>
      <c r="C11" s="4"/>
      <c r="D11" s="5"/>
      <c r="E11" s="5"/>
      <c r="G11" s="18"/>
      <c r="H11" s="18"/>
    </row>
    <row r="12" customFormat="false" ht="12.75" hidden="false" customHeight="true" outlineLevel="0" collapsed="false">
      <c r="A12" s="7" t="s">
        <v>10</v>
      </c>
      <c r="B12" s="7" t="s">
        <v>11</v>
      </c>
      <c r="C12" s="4" t="n">
        <v>0.15</v>
      </c>
      <c r="D12" s="5" t="n">
        <f aca="false">E12/12</f>
        <v>-2407.5</v>
      </c>
      <c r="E12" s="5" t="n">
        <f aca="false">-IF(E7&lt;=E22,ROUNDDOWN(E7,-2)*C12,ROUNDDOWN((E22),-2)*C12)</f>
        <v>-28890</v>
      </c>
      <c r="G12" s="18" t="n">
        <f aca="false">D12/$G$2</f>
        <v>-91.7317584301772</v>
      </c>
      <c r="H12" s="18" t="n">
        <f aca="false">E12/$G$2</f>
        <v>-1100.78110116213</v>
      </c>
    </row>
    <row r="13" customFormat="false" ht="12.75" hidden="false" customHeight="true" outlineLevel="0" collapsed="false">
      <c r="A13" s="7" t="s">
        <v>12</v>
      </c>
      <c r="B13" s="7" t="s">
        <v>13</v>
      </c>
      <c r="C13" s="4" t="n">
        <v>0.23</v>
      </c>
      <c r="D13" s="5" t="n">
        <f aca="false">E13/12</f>
        <v>-0</v>
      </c>
      <c r="E13" s="19" t="n">
        <f aca="false">-IF(E5&lt;=E22,0,ROUNDDOWN((E5-E22),-2)*C13)</f>
        <v>-0</v>
      </c>
      <c r="G13" s="18"/>
      <c r="H13" s="18"/>
    </row>
    <row r="14" customFormat="false" ht="12.75" hidden="false" customHeight="true" outlineLevel="0" collapsed="false">
      <c r="A14" s="7" t="s">
        <v>14</v>
      </c>
      <c r="B14" s="7" t="s">
        <v>15</v>
      </c>
      <c r="C14" s="4"/>
      <c r="D14" s="5" t="n">
        <f aca="false">E14/12</f>
        <v>2320</v>
      </c>
      <c r="E14" s="5" t="n">
        <f aca="false">IF(-E12&gt;E23,E23,-E12)</f>
        <v>27840</v>
      </c>
      <c r="G14" s="18" t="n">
        <f aca="false">D14/$G$2</f>
        <v>88.3977900552486</v>
      </c>
      <c r="H14" s="18" t="n">
        <f aca="false">E14/$G$2</f>
        <v>1060.77348066298</v>
      </c>
    </row>
    <row r="15" customFormat="false" ht="12.75" hidden="false" customHeight="true" outlineLevel="0" collapsed="false">
      <c r="A15" s="7"/>
      <c r="B15" s="7"/>
      <c r="C15" s="4"/>
      <c r="D15" s="5"/>
      <c r="E15" s="5"/>
      <c r="G15" s="6"/>
      <c r="H15" s="17"/>
    </row>
    <row r="16" s="16" customFormat="true" ht="12.75" hidden="false" customHeight="true" outlineLevel="0" collapsed="false">
      <c r="A16" s="21" t="s">
        <v>47</v>
      </c>
      <c r="B16" s="21" t="s">
        <v>48</v>
      </c>
      <c r="C16" s="22"/>
      <c r="D16" s="23" t="n">
        <f aca="false">D5+SUM(D9:D15)</f>
        <v>35072.753</v>
      </c>
      <c r="E16" s="23" t="n">
        <f aca="false">E5+SUM(E9:E15)</f>
        <v>420873.036</v>
      </c>
      <c r="G16" s="17" t="n">
        <f aca="false">D16/$G$2</f>
        <v>1336.35942084207</v>
      </c>
      <c r="H16" s="17" t="n">
        <f aca="false">E16/$G$2</f>
        <v>16036.3130501048</v>
      </c>
    </row>
    <row r="17" customFormat="false" ht="12.75" hidden="false" customHeight="true" outlineLevel="0" collapsed="false">
      <c r="A17" s="7"/>
      <c r="B17" s="7"/>
      <c r="C17" s="4"/>
      <c r="D17" s="5"/>
      <c r="E17" s="5"/>
      <c r="G17" s="6"/>
      <c r="H17" s="17"/>
    </row>
    <row r="18" s="34" customFormat="true" ht="23.55" hidden="false" customHeight="false" outlineLevel="0" collapsed="false">
      <c r="A18" s="31" t="s">
        <v>49</v>
      </c>
      <c r="B18" s="31" t="s">
        <v>50</v>
      </c>
      <c r="C18" s="32"/>
      <c r="D18" s="33" t="n">
        <f aca="false">D5</f>
        <v>40140</v>
      </c>
      <c r="E18" s="33" t="n">
        <f aca="false">E5</f>
        <v>481680</v>
      </c>
      <c r="G18" s="35" t="n">
        <f aca="false">D18/$G$2</f>
        <v>1529.43417793866</v>
      </c>
      <c r="H18" s="35" t="n">
        <f aca="false">E18/$G$2</f>
        <v>18353.2101352639</v>
      </c>
    </row>
    <row r="19" customFormat="false" ht="12.75" hidden="false" customHeight="true" outlineLevel="0" collapsed="false">
      <c r="A19" s="7"/>
      <c r="B19" s="7"/>
      <c r="C19" s="4"/>
      <c r="D19" s="5"/>
      <c r="E19" s="5"/>
      <c r="G19" s="6"/>
      <c r="H19" s="17"/>
    </row>
    <row r="20" customFormat="false" ht="12.75" hidden="false" customHeight="true" outlineLevel="0" collapsed="false">
      <c r="A20" s="7" t="s">
        <v>28</v>
      </c>
      <c r="B20" s="27" t="s">
        <v>29</v>
      </c>
      <c r="C20" s="28"/>
      <c r="D20" s="29"/>
      <c r="E20" s="29" t="n">
        <f aca="false">'2021 Zamestnanec - Employee'!E19</f>
        <v>1701168</v>
      </c>
      <c r="G20" s="6"/>
      <c r="H20" s="18" t="n">
        <f aca="false">E20/$G$2</f>
        <v>64818.746427891</v>
      </c>
    </row>
    <row r="21" customFormat="false" ht="12.75" hidden="false" customHeight="true" outlineLevel="0" collapsed="false">
      <c r="A21" s="7" t="s">
        <v>30</v>
      </c>
      <c r="B21" s="27" t="s">
        <v>31</v>
      </c>
      <c r="C21" s="28"/>
      <c r="D21" s="29"/>
      <c r="E21" s="29" t="n">
        <f aca="false">'2021 Zamestnanec - Employee'!E20</f>
        <v>999999999</v>
      </c>
      <c r="F21" s="0" t="str">
        <f aca="false">'2021 Zamestnanec - Employee'!F20</f>
        <v>no limit</v>
      </c>
      <c r="G21" s="6"/>
      <c r="H21" s="18" t="n">
        <f aca="false">E21</f>
        <v>999999999</v>
      </c>
    </row>
    <row r="22" customFormat="false" ht="12.75" hidden="false" customHeight="true" outlineLevel="0" collapsed="false">
      <c r="A22" s="7" t="s">
        <v>33</v>
      </c>
      <c r="B22" s="7" t="s">
        <v>34</v>
      </c>
      <c r="C22" s="4"/>
      <c r="D22" s="5"/>
      <c r="E22" s="29" t="n">
        <f aca="false">'2021 Zamestnanec - Employee'!E21</f>
        <v>1701168</v>
      </c>
      <c r="G22" s="6"/>
      <c r="H22" s="18" t="n">
        <f aca="false">E22/$G$2</f>
        <v>64818.746427891</v>
      </c>
    </row>
    <row r="23" customFormat="false" ht="12.75" hidden="false" customHeight="true" outlineLevel="0" collapsed="false">
      <c r="A23" s="7" t="s">
        <v>14</v>
      </c>
      <c r="B23" s="7" t="s">
        <v>15</v>
      </c>
      <c r="C23" s="4"/>
      <c r="D23" s="5"/>
      <c r="E23" s="29" t="n">
        <f aca="false">'2021 Zamestnanec - Employee'!E22</f>
        <v>27840</v>
      </c>
      <c r="G23" s="6"/>
      <c r="H23" s="18"/>
    </row>
    <row r="24" customFormat="false" ht="12.75" hidden="false" customHeight="true" outlineLevel="0" collapsed="false">
      <c r="A24" s="7" t="s">
        <v>51</v>
      </c>
      <c r="B24" s="7" t="s">
        <v>52</v>
      </c>
      <c r="C24" s="4"/>
      <c r="D24" s="5"/>
      <c r="E24" s="29" t="n">
        <v>1200000</v>
      </c>
      <c r="G24" s="6"/>
      <c r="H24" s="18"/>
    </row>
    <row r="25" customFormat="false" ht="12.75" hidden="false" customHeight="true" outlineLevel="0" collapsed="false">
      <c r="A25" s="27" t="s">
        <v>53</v>
      </c>
      <c r="B25" s="27" t="s">
        <v>54</v>
      </c>
      <c r="C25" s="4"/>
      <c r="D25" s="5"/>
      <c r="E25" s="5" t="n">
        <v>106332</v>
      </c>
    </row>
    <row r="26" customFormat="false" ht="12.75" hidden="false" customHeight="true" outlineLevel="0" collapsed="false">
      <c r="A26" s="27" t="s">
        <v>55</v>
      </c>
      <c r="B26" s="27" t="s">
        <v>56</v>
      </c>
      <c r="C26" s="4"/>
      <c r="D26" s="5"/>
      <c r="E26" s="5" t="n">
        <v>212652</v>
      </c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32.12"/>
    <col collapsed="false" customWidth="true" hidden="false" outlineLevel="0" max="2" min="2" style="0" width="28.86"/>
    <col collapsed="false" customWidth="false" hidden="false" outlineLevel="0" max="3" min="3" style="1" width="11.56"/>
    <col collapsed="false" customWidth="false" hidden="false" outlineLevel="0" max="5" min="4" style="2" width="11.56"/>
    <col collapsed="false" customWidth="true" hidden="false" outlineLevel="0" max="1025" min="6" style="0" width="11.04"/>
  </cols>
  <sheetData>
    <row r="1" customFormat="false" ht="31.3" hidden="false" customHeight="true" outlineLevel="0" collapsed="false">
      <c r="A1" s="3" t="s">
        <v>57</v>
      </c>
      <c r="B1" s="3" t="s">
        <v>58</v>
      </c>
      <c r="C1" s="4"/>
      <c r="D1" s="5"/>
      <c r="E1" s="5"/>
      <c r="G1" s="6" t="s">
        <v>2</v>
      </c>
      <c r="H1" s="6"/>
    </row>
    <row r="2" customFormat="false" ht="12.75" hidden="false" customHeight="true" outlineLevel="0" collapsed="false">
      <c r="A2" s="7"/>
      <c r="B2" s="8"/>
      <c r="C2" s="4"/>
      <c r="D2" s="5"/>
      <c r="E2" s="5"/>
      <c r="G2" s="36" t="n">
        <v>25.41</v>
      </c>
      <c r="H2" s="36" t="s">
        <v>3</v>
      </c>
    </row>
    <row r="3" customFormat="false" ht="12.75" hidden="false" customHeight="true" outlineLevel="0" collapsed="false">
      <c r="A3" s="7"/>
      <c r="B3" s="10"/>
      <c r="C3" s="4"/>
      <c r="D3" s="11" t="s">
        <v>4</v>
      </c>
      <c r="E3" s="11" t="s">
        <v>5</v>
      </c>
      <c r="G3" s="6"/>
      <c r="H3" s="6"/>
    </row>
    <row r="4" customFormat="false" ht="12.75" hidden="false" customHeight="true" outlineLevel="0" collapsed="false">
      <c r="A4" s="7"/>
      <c r="B4" s="7"/>
      <c r="C4" s="4"/>
      <c r="D4" s="12" t="s">
        <v>6</v>
      </c>
      <c r="E4" s="12" t="s">
        <v>7</v>
      </c>
      <c r="G4" s="6" t="str">
        <f aca="false">D4</f>
        <v>Month</v>
      </c>
      <c r="H4" s="6" t="str">
        <f aca="false">E4</f>
        <v>Year</v>
      </c>
    </row>
    <row r="5" s="16" customFormat="true" ht="12.75" hidden="false" customHeight="true" outlineLevel="0" collapsed="false">
      <c r="A5" s="10" t="s">
        <v>8</v>
      </c>
      <c r="B5" s="10" t="s">
        <v>9</v>
      </c>
      <c r="C5" s="13"/>
      <c r="D5" s="15" t="n">
        <v>30000</v>
      </c>
      <c r="E5" s="15" t="n">
        <f aca="false">D5*12</f>
        <v>360000</v>
      </c>
      <c r="G5" s="17" t="n">
        <f aca="false">D5/$G$2</f>
        <v>1180.63754427391</v>
      </c>
      <c r="H5" s="17" t="n">
        <f aca="false">E5/$G$2</f>
        <v>14167.6505312869</v>
      </c>
    </row>
    <row r="6" customFormat="false" ht="12.75" hidden="false" customHeight="true" outlineLevel="0" collapsed="false">
      <c r="A6" s="7" t="s">
        <v>59</v>
      </c>
      <c r="B6" s="7" t="s">
        <v>60</v>
      </c>
      <c r="C6" s="4" t="n">
        <v>0.15</v>
      </c>
      <c r="D6" s="5" t="n">
        <f aca="false">E6/12</f>
        <v>-6021</v>
      </c>
      <c r="E6" s="5" t="n">
        <f aca="false">-(E5+E14+E15)*C6</f>
        <v>-72252</v>
      </c>
      <c r="G6" s="18" t="n">
        <f aca="false">D6/$G$2</f>
        <v>-236.953955135773</v>
      </c>
      <c r="H6" s="18" t="n">
        <f aca="false">E6/$G$2</f>
        <v>-2843.44746162928</v>
      </c>
    </row>
    <row r="7" customFormat="false" ht="12.75" hidden="false" customHeight="true" outlineLevel="0" collapsed="false">
      <c r="A7" s="7" t="s">
        <v>61</v>
      </c>
      <c r="B7" s="7" t="s">
        <v>62</v>
      </c>
      <c r="C7" s="4" t="n">
        <v>0.07</v>
      </c>
      <c r="D7" s="5" t="n">
        <f aca="false">E7/12</f>
        <v>0</v>
      </c>
      <c r="E7" s="5" t="n">
        <f aca="false">IF(E5&gt;E21,-(E5-E21)*C7,0)</f>
        <v>0</v>
      </c>
      <c r="G7" s="18" t="n">
        <f aca="false">D7/$G$2</f>
        <v>0</v>
      </c>
      <c r="H7" s="18" t="n">
        <f aca="false">E7/$G$2</f>
        <v>0</v>
      </c>
    </row>
    <row r="8" customFormat="false" ht="12.75" hidden="false" customHeight="true" outlineLevel="0" collapsed="false">
      <c r="A8" s="7" t="s">
        <v>14</v>
      </c>
      <c r="B8" s="7" t="s">
        <v>15</v>
      </c>
      <c r="C8" s="4"/>
      <c r="D8" s="5" t="n">
        <f aca="false">E8/12</f>
        <v>2070</v>
      </c>
      <c r="E8" s="5" t="n">
        <f aca="false">IF(-E6&gt;24840,24840,-E6)</f>
        <v>24840</v>
      </c>
      <c r="G8" s="18" t="n">
        <f aca="false">D8/$G$2</f>
        <v>81.4639905548997</v>
      </c>
      <c r="H8" s="18" t="n">
        <f aca="false">E8/$G$2</f>
        <v>977.567886658796</v>
      </c>
    </row>
    <row r="9" customFormat="false" ht="12.75" hidden="false" customHeight="true" outlineLevel="0" collapsed="false">
      <c r="A9" s="7" t="s">
        <v>16</v>
      </c>
      <c r="B9" s="7" t="s">
        <v>17</v>
      </c>
      <c r="C9" s="4" t="n">
        <v>0.065</v>
      </c>
      <c r="D9" s="5" t="n">
        <f aca="false">E9/12</f>
        <v>-1950</v>
      </c>
      <c r="E9" s="5" t="n">
        <f aca="false">-IF(E5&gt;E19,E19*C9,E5*C9)</f>
        <v>-23400</v>
      </c>
      <c r="F9" s="2"/>
      <c r="G9" s="18" t="n">
        <f aca="false">D9/$G$2</f>
        <v>-76.741440377804</v>
      </c>
      <c r="H9" s="18" t="n">
        <f aca="false">E9/$G$2</f>
        <v>-920.897284533648</v>
      </c>
    </row>
    <row r="10" customFormat="false" ht="12.75" hidden="false" customHeight="true" outlineLevel="0" collapsed="false">
      <c r="A10" s="7" t="s">
        <v>18</v>
      </c>
      <c r="B10" s="7" t="s">
        <v>19</v>
      </c>
      <c r="C10" s="4" t="n">
        <v>0.045</v>
      </c>
      <c r="D10" s="5" t="n">
        <f aca="false">E10/12</f>
        <v>-1350</v>
      </c>
      <c r="E10" s="5" t="n">
        <f aca="false">-IF(E5&gt;E20,E20*C10,E5*C10)</f>
        <v>-16200</v>
      </c>
      <c r="F10" s="2"/>
      <c r="G10" s="18" t="n">
        <f aca="false">D10/$G$2</f>
        <v>-53.1286894923259</v>
      </c>
      <c r="H10" s="18" t="n">
        <f aca="false">E10/$G$2</f>
        <v>-637.54427390791</v>
      </c>
    </row>
    <row r="11" customFormat="false" ht="12.75" hidden="false" customHeight="true" outlineLevel="0" collapsed="false">
      <c r="A11" s="7"/>
      <c r="B11" s="7"/>
      <c r="C11" s="4"/>
      <c r="D11" s="5"/>
      <c r="E11" s="5"/>
      <c r="F11" s="2"/>
      <c r="G11" s="20"/>
      <c r="H11" s="20"/>
    </row>
    <row r="12" s="16" customFormat="true" ht="12.75" hidden="false" customHeight="true" outlineLevel="0" collapsed="false">
      <c r="A12" s="21" t="s">
        <v>20</v>
      </c>
      <c r="B12" s="21" t="s">
        <v>21</v>
      </c>
      <c r="C12" s="22"/>
      <c r="D12" s="23" t="n">
        <f aca="false">SUM(D5:D11)</f>
        <v>22749</v>
      </c>
      <c r="E12" s="23" t="n">
        <f aca="false">SUM(E5:E11)</f>
        <v>272988</v>
      </c>
      <c r="G12" s="17" t="n">
        <f aca="false">D12/$G$2</f>
        <v>895.277449822904</v>
      </c>
      <c r="H12" s="17" t="n">
        <f aca="false">E12/$G$2</f>
        <v>10743.3293978749</v>
      </c>
    </row>
    <row r="13" customFormat="false" ht="12.75" hidden="false" customHeight="true" outlineLevel="0" collapsed="false">
      <c r="A13" s="7"/>
      <c r="B13" s="7"/>
      <c r="C13" s="4"/>
      <c r="D13" s="5"/>
      <c r="E13" s="5"/>
      <c r="G13" s="20"/>
      <c r="H13" s="20"/>
    </row>
    <row r="14" customFormat="false" ht="12.75" hidden="false" customHeight="true" outlineLevel="0" collapsed="false">
      <c r="A14" s="7" t="s">
        <v>22</v>
      </c>
      <c r="B14" s="7" t="s">
        <v>23</v>
      </c>
      <c r="C14" s="4" t="n">
        <v>0.248</v>
      </c>
      <c r="D14" s="5" t="n">
        <f aca="false">E14/12</f>
        <v>7440</v>
      </c>
      <c r="E14" s="5" t="n">
        <f aca="false">IF(E5&gt;E19,E19*C14,E5*C14)</f>
        <v>89280</v>
      </c>
      <c r="F14" s="2"/>
      <c r="G14" s="18" t="n">
        <f aca="false">D14/$G$2</f>
        <v>292.798110979929</v>
      </c>
      <c r="H14" s="18" t="n">
        <f aca="false">E14/$G$2</f>
        <v>3513.57733175915</v>
      </c>
    </row>
    <row r="15" customFormat="false" ht="12.75" hidden="false" customHeight="true" outlineLevel="0" collapsed="false">
      <c r="A15" s="7" t="s">
        <v>24</v>
      </c>
      <c r="B15" s="7" t="s">
        <v>25</v>
      </c>
      <c r="C15" s="4" t="n">
        <v>0.09</v>
      </c>
      <c r="D15" s="5" t="n">
        <f aca="false">E15/12</f>
        <v>2700</v>
      </c>
      <c r="E15" s="5" t="n">
        <f aca="false">IF(E5&gt;E20,E20*C15,E5*C15)</f>
        <v>32400</v>
      </c>
      <c r="F15" s="2"/>
      <c r="G15" s="18" t="n">
        <f aca="false">D15/$G$2</f>
        <v>106.257378984652</v>
      </c>
      <c r="H15" s="18" t="n">
        <f aca="false">E15/$G$2</f>
        <v>1275.08854781582</v>
      </c>
    </row>
    <row r="16" customFormat="false" ht="12.75" hidden="false" customHeight="true" outlineLevel="0" collapsed="false">
      <c r="A16" s="7"/>
      <c r="B16" s="7"/>
      <c r="C16" s="4"/>
      <c r="D16" s="5"/>
      <c r="E16" s="5"/>
      <c r="G16" s="20"/>
      <c r="H16" s="20"/>
    </row>
    <row r="17" s="16" customFormat="true" ht="12.75" hidden="false" customHeight="true" outlineLevel="0" collapsed="false">
      <c r="A17" s="24" t="s">
        <v>26</v>
      </c>
      <c r="B17" s="24" t="s">
        <v>27</v>
      </c>
      <c r="C17" s="25"/>
      <c r="D17" s="26" t="n">
        <f aca="false">D5+D14+D15</f>
        <v>40140</v>
      </c>
      <c r="E17" s="26" t="n">
        <f aca="false">E5+E14+E15</f>
        <v>481680</v>
      </c>
      <c r="G17" s="17" t="n">
        <f aca="false">D17/$G$2</f>
        <v>1579.69303423849</v>
      </c>
      <c r="H17" s="17" t="n">
        <f aca="false">E17/$G$2</f>
        <v>18956.3164108619</v>
      </c>
    </row>
    <row r="18" customFormat="false" ht="12.75" hidden="false" customHeight="true" outlineLevel="0" collapsed="false">
      <c r="A18" s="7"/>
      <c r="B18" s="7"/>
      <c r="C18" s="4"/>
      <c r="D18" s="5"/>
      <c r="E18" s="5"/>
      <c r="G18" s="6"/>
      <c r="H18" s="6"/>
    </row>
    <row r="19" customFormat="false" ht="12.75" hidden="false" customHeight="true" outlineLevel="0" collapsed="false">
      <c r="A19" s="7" t="s">
        <v>28</v>
      </c>
      <c r="B19" s="27" t="s">
        <v>29</v>
      </c>
      <c r="C19" s="28"/>
      <c r="D19" s="29"/>
      <c r="E19" s="29" t="n">
        <v>1672080</v>
      </c>
      <c r="G19" s="18"/>
      <c r="H19" s="18" t="n">
        <f aca="false">E19/$G$2</f>
        <v>65804.0141676505</v>
      </c>
    </row>
    <row r="20" customFormat="false" ht="12.75" hidden="false" customHeight="true" outlineLevel="0" collapsed="false">
      <c r="A20" s="7" t="s">
        <v>30</v>
      </c>
      <c r="B20" s="27" t="s">
        <v>31</v>
      </c>
      <c r="C20" s="28"/>
      <c r="D20" s="29"/>
      <c r="E20" s="29" t="n">
        <v>999999999</v>
      </c>
      <c r="F20" s="0" t="s">
        <v>32</v>
      </c>
      <c r="G20" s="18"/>
      <c r="H20" s="18" t="n">
        <f aca="false">E20</f>
        <v>999999999</v>
      </c>
    </row>
    <row r="21" customFormat="false" ht="12.75" hidden="false" customHeight="true" outlineLevel="0" collapsed="false">
      <c r="A21" s="7" t="s">
        <v>63</v>
      </c>
      <c r="B21" s="7" t="s">
        <v>64</v>
      </c>
      <c r="C21" s="4"/>
      <c r="D21" s="5"/>
      <c r="E21" s="29" t="n">
        <f aca="false">E19</f>
        <v>1672080</v>
      </c>
      <c r="F21" s="30"/>
      <c r="G21" s="18"/>
      <c r="H21" s="18" t="n">
        <f aca="false">E21/$G$2</f>
        <v>65804.0141676505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4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E13" activeCellId="0" sqref="E13"/>
    </sheetView>
  </sheetViews>
  <sheetFormatPr defaultRowHeight="12.75" zeroHeight="false" outlineLevelRow="0" outlineLevelCol="0"/>
  <cols>
    <col collapsed="false" customWidth="true" hidden="false" outlineLevel="0" max="1" min="1" style="0" width="33.26"/>
    <col collapsed="false" customWidth="true" hidden="false" outlineLevel="0" max="2" min="2" style="0" width="27.73"/>
    <col collapsed="false" customWidth="false" hidden="false" outlineLevel="0" max="3" min="3" style="1" width="11.56"/>
    <col collapsed="false" customWidth="false" hidden="false" outlineLevel="0" max="5" min="4" style="2" width="11.56"/>
    <col collapsed="false" customWidth="true" hidden="false" outlineLevel="0" max="6" min="6" style="0" width="11.04"/>
    <col collapsed="false" customWidth="true" hidden="false" outlineLevel="0" max="7" min="7" style="0" width="12.67"/>
    <col collapsed="false" customWidth="true" hidden="false" outlineLevel="0" max="1025" min="8" style="0" width="11.04"/>
  </cols>
  <sheetData>
    <row r="1" customFormat="false" ht="45.5" hidden="false" customHeight="true" outlineLevel="0" collapsed="false">
      <c r="A1" s="3" t="s">
        <v>65</v>
      </c>
      <c r="B1" s="3" t="s">
        <v>66</v>
      </c>
      <c r="C1" s="4"/>
      <c r="D1" s="5"/>
      <c r="E1" s="5"/>
      <c r="G1" s="6" t="s">
        <v>2</v>
      </c>
      <c r="H1" s="6"/>
    </row>
    <row r="2" customFormat="false" ht="12.75" hidden="false" customHeight="true" outlineLevel="0" collapsed="false">
      <c r="A2" s="7"/>
      <c r="B2" s="8"/>
      <c r="C2" s="4"/>
      <c r="D2" s="5"/>
      <c r="E2" s="5"/>
      <c r="G2" s="36" t="n">
        <v>25.725</v>
      </c>
      <c r="H2" s="36" t="s">
        <v>3</v>
      </c>
    </row>
    <row r="3" customFormat="false" ht="12.75" hidden="false" customHeight="true" outlineLevel="0" collapsed="false">
      <c r="A3" s="7"/>
      <c r="B3" s="10"/>
      <c r="C3" s="4"/>
      <c r="D3" s="11" t="s">
        <v>4</v>
      </c>
      <c r="E3" s="11" t="s">
        <v>5</v>
      </c>
      <c r="G3" s="6"/>
      <c r="H3" s="6"/>
    </row>
    <row r="4" customFormat="false" ht="12.75" hidden="false" customHeight="true" outlineLevel="0" collapsed="false">
      <c r="A4" s="7"/>
      <c r="B4" s="7"/>
      <c r="C4" s="4"/>
      <c r="D4" s="11" t="s">
        <v>6</v>
      </c>
      <c r="E4" s="11" t="s">
        <v>7</v>
      </c>
      <c r="G4" s="6" t="str">
        <f aca="false">D4</f>
        <v>Month</v>
      </c>
      <c r="H4" s="6" t="str">
        <f aca="false">E4</f>
        <v>Year</v>
      </c>
    </row>
    <row r="5" s="16" customFormat="true" ht="12.75" hidden="false" customHeight="true" outlineLevel="0" collapsed="false">
      <c r="A5" s="10" t="s">
        <v>8</v>
      </c>
      <c r="B5" s="10" t="s">
        <v>38</v>
      </c>
      <c r="C5" s="13"/>
      <c r="D5" s="15" t="n">
        <v>40140</v>
      </c>
      <c r="E5" s="15" t="n">
        <v>360000</v>
      </c>
      <c r="G5" s="17" t="n">
        <f aca="false">D5/$G$2</f>
        <v>1560.34985422741</v>
      </c>
      <c r="H5" s="17" t="n">
        <f aca="false">E5/$G$2</f>
        <v>13994.1690962099</v>
      </c>
    </row>
    <row r="6" customFormat="false" ht="12.75" hidden="false" customHeight="true" outlineLevel="0" collapsed="false">
      <c r="A6" s="7" t="s">
        <v>39</v>
      </c>
      <c r="B6" s="7" t="s">
        <v>40</v>
      </c>
      <c r="C6" s="4" t="n">
        <v>0.6</v>
      </c>
      <c r="D6" s="5" t="n">
        <f aca="false">E6/12</f>
        <v>-18000</v>
      </c>
      <c r="E6" s="5" t="n">
        <f aca="false">IF((-E5*C6)&gt;600000,600000,(-E5*C6))</f>
        <v>-216000</v>
      </c>
      <c r="G6" s="18" t="n">
        <f aca="false">D6/$G$2</f>
        <v>-699.708454810496</v>
      </c>
      <c r="H6" s="18" t="n">
        <f aca="false">E6/$G$2</f>
        <v>-8396.50145772595</v>
      </c>
    </row>
    <row r="7" customFormat="false" ht="12.75" hidden="false" customHeight="true" outlineLevel="0" collapsed="false">
      <c r="A7" s="10" t="s">
        <v>41</v>
      </c>
      <c r="B7" s="10" t="s">
        <v>42</v>
      </c>
      <c r="C7" s="13"/>
      <c r="D7" s="15" t="n">
        <f aca="false">SUM(D5:D6)</f>
        <v>22140</v>
      </c>
      <c r="E7" s="15" t="n">
        <f aca="false">SUM(E5:E6)</f>
        <v>144000</v>
      </c>
      <c r="G7" s="17" t="n">
        <f aca="false">D7/$G$2</f>
        <v>860.641399416909</v>
      </c>
      <c r="H7" s="17" t="n">
        <f aca="false">E7/$G$2</f>
        <v>5597.66763848396</v>
      </c>
    </row>
    <row r="8" customFormat="false" ht="12.75" hidden="false" customHeight="true" outlineLevel="0" collapsed="false">
      <c r="A8" s="7"/>
      <c r="B8" s="10"/>
      <c r="C8" s="13"/>
      <c r="D8" s="15"/>
      <c r="E8" s="15"/>
      <c r="G8" s="17"/>
      <c r="H8" s="17"/>
    </row>
    <row r="9" customFormat="false" ht="12.75" hidden="false" customHeight="true" outlineLevel="0" collapsed="false">
      <c r="A9" s="7" t="s">
        <v>43</v>
      </c>
      <c r="B9" s="27" t="s">
        <v>44</v>
      </c>
      <c r="C9" s="28" t="n">
        <v>0.292</v>
      </c>
      <c r="D9" s="29" t="n">
        <f aca="false">E9/12</f>
        <v>-2543.028</v>
      </c>
      <c r="E9" s="29" t="n">
        <f aca="false">-IF(E7/2&gt;E20,E20*C9,IF(E7/2&lt;E23,E23*C9,E7/2*C9))</f>
        <v>-30516.336</v>
      </c>
      <c r="G9" s="18" t="n">
        <f aca="false">D9/$G$2</f>
        <v>-98.8543440233236</v>
      </c>
      <c r="H9" s="18" t="n">
        <f aca="false">E9/$G$2</f>
        <v>-1186.25212827988</v>
      </c>
    </row>
    <row r="10" customFormat="false" ht="12.75" hidden="false" customHeight="true" outlineLevel="0" collapsed="false">
      <c r="A10" s="7" t="s">
        <v>45</v>
      </c>
      <c r="B10" s="27" t="s">
        <v>46</v>
      </c>
      <c r="C10" s="28" t="n">
        <v>0.135</v>
      </c>
      <c r="D10" s="29" t="n">
        <f aca="false">E10/12</f>
        <v>-2351.3175</v>
      </c>
      <c r="E10" s="29" t="n">
        <f aca="false">-IF(E7/2&gt;E21,E21*C10,IF(E7/2&lt;E24,E24*C10,E7/2*C10))</f>
        <v>-28215.81</v>
      </c>
      <c r="G10" s="18" t="n">
        <f aca="false">D10/$G$2</f>
        <v>-91.4020408163265</v>
      </c>
      <c r="H10" s="18" t="n">
        <f aca="false">E10/$G$2</f>
        <v>-1096.82448979592</v>
      </c>
    </row>
    <row r="11" customFormat="false" ht="12.75" hidden="false" customHeight="true" outlineLevel="0" collapsed="false">
      <c r="A11" s="7"/>
      <c r="B11" s="7"/>
      <c r="C11" s="4"/>
      <c r="D11" s="5"/>
      <c r="E11" s="5"/>
      <c r="G11" s="18"/>
      <c r="H11" s="18"/>
    </row>
    <row r="12" customFormat="false" ht="12.75" hidden="false" customHeight="true" outlineLevel="0" collapsed="false">
      <c r="A12" s="7" t="s">
        <v>67</v>
      </c>
      <c r="B12" s="7" t="s">
        <v>68</v>
      </c>
      <c r="C12" s="4" t="n">
        <v>0.15</v>
      </c>
      <c r="D12" s="5" t="n">
        <f aca="false">E12/12</f>
        <v>-1800</v>
      </c>
      <c r="E12" s="5" t="n">
        <f aca="false">-E7*C12</f>
        <v>-21600</v>
      </c>
      <c r="G12" s="18" t="n">
        <f aca="false">D12/$G$2</f>
        <v>-69.9708454810496</v>
      </c>
      <c r="H12" s="18" t="n">
        <f aca="false">E12/$G$2</f>
        <v>-839.650145772595</v>
      </c>
    </row>
    <row r="13" customFormat="false" ht="12.75" hidden="false" customHeight="true" outlineLevel="0" collapsed="false">
      <c r="A13" s="7" t="s">
        <v>14</v>
      </c>
      <c r="B13" s="7" t="s">
        <v>15</v>
      </c>
      <c r="C13" s="4"/>
      <c r="D13" s="5" t="n">
        <f aca="false">E13/12</f>
        <v>1800</v>
      </c>
      <c r="E13" s="5" t="n">
        <f aca="false">IF(-E12&gt;24840,24840,-E12)</f>
        <v>21600</v>
      </c>
      <c r="G13" s="18" t="n">
        <f aca="false">D13/$G$2</f>
        <v>69.9708454810496</v>
      </c>
      <c r="H13" s="18" t="n">
        <f aca="false">E13/$G$2</f>
        <v>839.650145772595</v>
      </c>
    </row>
    <row r="14" customFormat="false" ht="12.75" hidden="false" customHeight="true" outlineLevel="0" collapsed="false">
      <c r="A14" s="7" t="s">
        <v>61</v>
      </c>
      <c r="B14" s="7" t="s">
        <v>62</v>
      </c>
      <c r="C14" s="4" t="n">
        <v>0.07</v>
      </c>
      <c r="D14" s="5" t="n">
        <f aca="false">E14/12</f>
        <v>0</v>
      </c>
      <c r="E14" s="5" t="n">
        <f aca="false">IF(E7&gt;E22,-(E7-E22)*C14,0)</f>
        <v>0</v>
      </c>
      <c r="G14" s="18" t="n">
        <f aca="false">D14/$G$2</f>
        <v>0</v>
      </c>
      <c r="H14" s="18" t="n">
        <f aca="false">E14/$G$2</f>
        <v>0</v>
      </c>
    </row>
    <row r="15" customFormat="false" ht="12.75" hidden="false" customHeight="true" outlineLevel="0" collapsed="false">
      <c r="A15" s="7"/>
      <c r="B15" s="7"/>
      <c r="C15" s="4"/>
      <c r="D15" s="5"/>
      <c r="E15" s="5"/>
      <c r="G15" s="6"/>
      <c r="H15" s="17"/>
    </row>
    <row r="16" s="16" customFormat="true" ht="12.75" hidden="false" customHeight="true" outlineLevel="0" collapsed="false">
      <c r="A16" s="21" t="s">
        <v>47</v>
      </c>
      <c r="B16" s="21" t="s">
        <v>48</v>
      </c>
      <c r="C16" s="22"/>
      <c r="D16" s="23" t="n">
        <f aca="false">D5+SUM(D9:D15)</f>
        <v>35245.6545</v>
      </c>
      <c r="E16" s="23" t="n">
        <f aca="false">E5+SUM(E9:E15)</f>
        <v>301267.854</v>
      </c>
      <c r="G16" s="17" t="n">
        <f aca="false">D16/$G$2</f>
        <v>1370.09346938776</v>
      </c>
      <c r="H16" s="17" t="n">
        <f aca="false">E16/$G$2</f>
        <v>11711.0924781341</v>
      </c>
    </row>
    <row r="17" customFormat="false" ht="12.75" hidden="false" customHeight="true" outlineLevel="0" collapsed="false">
      <c r="A17" s="7"/>
      <c r="B17" s="7"/>
      <c r="C17" s="4"/>
      <c r="D17" s="5"/>
      <c r="E17" s="5"/>
      <c r="G17" s="6"/>
      <c r="H17" s="17"/>
    </row>
    <row r="18" customFormat="false" ht="12.75" hidden="false" customHeight="true" outlineLevel="0" collapsed="false">
      <c r="A18" s="24" t="s">
        <v>69</v>
      </c>
      <c r="B18" s="24" t="s">
        <v>27</v>
      </c>
      <c r="C18" s="25"/>
      <c r="D18" s="26" t="n">
        <f aca="false">D5</f>
        <v>40140</v>
      </c>
      <c r="E18" s="26" t="n">
        <f aca="false">E5</f>
        <v>360000</v>
      </c>
      <c r="G18" s="17" t="n">
        <f aca="false">D18/$G$2</f>
        <v>1560.34985422741</v>
      </c>
      <c r="H18" s="17" t="n">
        <f aca="false">E18/$G$2</f>
        <v>13994.1690962099</v>
      </c>
    </row>
    <row r="19" customFormat="false" ht="12.75" hidden="false" customHeight="true" outlineLevel="0" collapsed="false">
      <c r="A19" s="7"/>
      <c r="B19" s="7"/>
      <c r="C19" s="4"/>
      <c r="D19" s="5"/>
      <c r="E19" s="5"/>
      <c r="G19" s="6"/>
      <c r="H19" s="17"/>
    </row>
    <row r="20" customFormat="false" ht="12.75" hidden="false" customHeight="true" outlineLevel="0" collapsed="false">
      <c r="A20" s="7" t="s">
        <v>28</v>
      </c>
      <c r="B20" s="27" t="s">
        <v>29</v>
      </c>
      <c r="C20" s="28"/>
      <c r="D20" s="29"/>
      <c r="E20" s="29" t="n">
        <v>1672080</v>
      </c>
      <c r="G20" s="6"/>
      <c r="H20" s="18" t="n">
        <f aca="false">E20/$G$2</f>
        <v>64998.250728863</v>
      </c>
    </row>
    <row r="21" customFormat="false" ht="12.75" hidden="false" customHeight="true" outlineLevel="0" collapsed="false">
      <c r="A21" s="7" t="s">
        <v>30</v>
      </c>
      <c r="B21" s="27" t="s">
        <v>31</v>
      </c>
      <c r="C21" s="28"/>
      <c r="D21" s="29"/>
      <c r="E21" s="29" t="n">
        <v>999999999</v>
      </c>
      <c r="F21" s="0" t="s">
        <v>32</v>
      </c>
      <c r="G21" s="6"/>
      <c r="H21" s="18" t="n">
        <f aca="false">E21</f>
        <v>999999999</v>
      </c>
    </row>
    <row r="22" customFormat="false" ht="12.75" hidden="false" customHeight="true" outlineLevel="0" collapsed="false">
      <c r="A22" s="7" t="s">
        <v>63</v>
      </c>
      <c r="B22" s="7" t="s">
        <v>64</v>
      </c>
      <c r="C22" s="4"/>
      <c r="D22" s="5"/>
      <c r="E22" s="29" t="n">
        <f aca="false">E20</f>
        <v>1672080</v>
      </c>
      <c r="G22" s="6"/>
      <c r="H22" s="18" t="n">
        <f aca="false">E22/$G$2</f>
        <v>64998.250728863</v>
      </c>
    </row>
    <row r="23" customFormat="false" ht="12.75" hidden="false" customHeight="true" outlineLevel="0" collapsed="false">
      <c r="A23" s="27" t="s">
        <v>53</v>
      </c>
      <c r="B23" s="27" t="s">
        <v>54</v>
      </c>
      <c r="C23" s="4"/>
      <c r="D23" s="5"/>
      <c r="E23" s="5" t="n">
        <v>104508</v>
      </c>
    </row>
    <row r="24" customFormat="false" ht="12.75" hidden="false" customHeight="true" outlineLevel="0" collapsed="false">
      <c r="A24" s="27" t="s">
        <v>55</v>
      </c>
      <c r="B24" s="27" t="s">
        <v>56</v>
      </c>
      <c r="C24" s="4"/>
      <c r="D24" s="5"/>
      <c r="E24" s="5" t="n">
        <v>209006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9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30.56"/>
    <col collapsed="false" customWidth="true" hidden="true" outlineLevel="0" max="2" min="2" style="1" width="12.03"/>
    <col collapsed="false" customWidth="true" hidden="true" outlineLevel="0" max="3" min="3" style="2" width="12.03"/>
    <col collapsed="false" customWidth="true" hidden="false" outlineLevel="0" max="4" min="4" style="2" width="11.72"/>
    <col collapsed="false" customWidth="true" hidden="false" outlineLevel="0" max="5" min="5" style="2" width="4.22"/>
    <col collapsed="false" customWidth="true" hidden="false" outlineLevel="0" max="6" min="6" style="0" width="30.56"/>
    <col collapsed="false" customWidth="true" hidden="true" outlineLevel="0" max="7" min="7" style="1" width="12.03"/>
    <col collapsed="false" customWidth="true" hidden="true" outlineLevel="0" max="8" min="8" style="2" width="12.03"/>
    <col collapsed="false" customWidth="false" hidden="false" outlineLevel="0" max="9" min="9" style="2" width="11.56"/>
    <col collapsed="false" customWidth="true" hidden="false" outlineLevel="0" max="1025" min="10" style="0" width="11.04"/>
  </cols>
  <sheetData>
    <row r="1" customFormat="false" ht="17.15" hidden="false" customHeight="true" outlineLevel="0" collapsed="false">
      <c r="A1" s="3" t="s">
        <v>70</v>
      </c>
      <c r="B1" s="3"/>
      <c r="C1" s="3"/>
      <c r="D1" s="3"/>
      <c r="E1" s="15"/>
      <c r="F1" s="3" t="s">
        <v>71</v>
      </c>
      <c r="G1" s="3"/>
      <c r="H1" s="3"/>
      <c r="I1" s="3"/>
    </row>
    <row r="2" customFormat="false" ht="12.75" hidden="false" customHeight="true" outlineLevel="0" collapsed="false">
      <c r="A2" s="7"/>
      <c r="B2" s="4"/>
      <c r="C2" s="11" t="s">
        <v>4</v>
      </c>
      <c r="D2" s="11" t="s">
        <v>5</v>
      </c>
      <c r="E2" s="11"/>
      <c r="F2" s="7"/>
      <c r="G2" s="4"/>
      <c r="H2" s="11" t="s">
        <v>4</v>
      </c>
      <c r="I2" s="11" t="s">
        <v>5</v>
      </c>
    </row>
    <row r="3" s="16" customFormat="true" ht="12.75" hidden="false" customHeight="true" outlineLevel="0" collapsed="false">
      <c r="A3" s="10" t="s">
        <v>8</v>
      </c>
      <c r="B3" s="13"/>
      <c r="C3" s="15" t="n">
        <v>20000</v>
      </c>
      <c r="D3" s="15" t="n">
        <v>360000</v>
      </c>
      <c r="E3" s="15"/>
      <c r="F3" s="10" t="s">
        <v>8</v>
      </c>
      <c r="G3" s="13"/>
      <c r="H3" s="15" t="n">
        <v>20000</v>
      </c>
      <c r="I3" s="15" t="n">
        <v>360000</v>
      </c>
    </row>
    <row r="4" customFormat="false" ht="12.75" hidden="false" customHeight="true" outlineLevel="0" collapsed="false">
      <c r="A4" s="7" t="s">
        <v>59</v>
      </c>
      <c r="B4" s="4" t="n">
        <v>0.15</v>
      </c>
      <c r="C4" s="5" t="n">
        <f aca="false">D4/12</f>
        <v>-6030</v>
      </c>
      <c r="D4" s="5" t="n">
        <f aca="false">-(D3+D12+D13)*B4</f>
        <v>-72360</v>
      </c>
      <c r="E4" s="5"/>
      <c r="F4" s="7" t="s">
        <v>39</v>
      </c>
      <c r="G4" s="4" t="n">
        <v>0.6</v>
      </c>
      <c r="H4" s="5" t="n">
        <f aca="false">I4/12</f>
        <v>-18000</v>
      </c>
      <c r="I4" s="5" t="n">
        <f aca="false">-I3*G4</f>
        <v>-216000</v>
      </c>
    </row>
    <row r="5" customFormat="false" ht="12.75" hidden="false" customHeight="true" outlineLevel="0" collapsed="false">
      <c r="A5" s="7" t="s">
        <v>61</v>
      </c>
      <c r="B5" s="4" t="n">
        <v>0.07</v>
      </c>
      <c r="C5" s="5" t="n">
        <f aca="false">D5/12</f>
        <v>0</v>
      </c>
      <c r="D5" s="5" t="n">
        <f aca="false">IF(D3&gt;D17,-(D3-D17)*B5,0)</f>
        <v>0</v>
      </c>
      <c r="E5" s="5"/>
      <c r="F5" s="10" t="s">
        <v>41</v>
      </c>
      <c r="G5" s="13"/>
      <c r="H5" s="15" t="n">
        <f aca="false">SUM(H3:H4)</f>
        <v>2000</v>
      </c>
      <c r="I5" s="15" t="n">
        <f aca="false">SUM(I3:I4)</f>
        <v>144000</v>
      </c>
    </row>
    <row r="6" customFormat="false" ht="12.75" hidden="false" customHeight="true" outlineLevel="0" collapsed="false">
      <c r="A6" s="7" t="s">
        <v>14</v>
      </c>
      <c r="B6" s="4"/>
      <c r="C6" s="5" t="n">
        <f aca="false">D6/12</f>
        <v>2070</v>
      </c>
      <c r="D6" s="5" t="n">
        <f aca="false">IF(-D4&gt;24840,24840,-D4)</f>
        <v>24840</v>
      </c>
      <c r="E6" s="5"/>
      <c r="F6" s="7" t="s">
        <v>43</v>
      </c>
      <c r="G6" s="28" t="n">
        <v>0.292</v>
      </c>
      <c r="H6" s="29" t="n">
        <f aca="false">I6/12</f>
        <v>-2543.028</v>
      </c>
      <c r="I6" s="29" t="n">
        <f aca="false">-IF(I5/2&gt;I15,I15*G6,IF(I5/2&lt;I18,I18*G6,I5/2*G6))</f>
        <v>-30516.336</v>
      </c>
    </row>
    <row r="7" customFormat="false" ht="12.75" hidden="false" customHeight="true" outlineLevel="0" collapsed="false">
      <c r="A7" s="7" t="s">
        <v>16</v>
      </c>
      <c r="B7" s="4" t="n">
        <v>0.065</v>
      </c>
      <c r="C7" s="5" t="n">
        <f aca="false">D7/12</f>
        <v>-1950</v>
      </c>
      <c r="D7" s="5" t="n">
        <f aca="false">-IF(D3&gt;D15,D15*B7,D3*B7)</f>
        <v>-23400</v>
      </c>
      <c r="E7" s="5"/>
      <c r="F7" s="7" t="s">
        <v>45</v>
      </c>
      <c r="G7" s="28" t="n">
        <v>0.135</v>
      </c>
      <c r="H7" s="29" t="n">
        <f aca="false">I7/12</f>
        <v>-2351.3175</v>
      </c>
      <c r="I7" s="29" t="n">
        <f aca="false">-IF(I5/2&gt;I16,I16*G7,IF(I5/2&lt;I19,I19*G7,I5/2*G7))</f>
        <v>-28215.81</v>
      </c>
    </row>
    <row r="8" customFormat="false" ht="12.75" hidden="false" customHeight="true" outlineLevel="0" collapsed="false">
      <c r="A8" s="7" t="s">
        <v>18</v>
      </c>
      <c r="B8" s="4" t="n">
        <v>0.045</v>
      </c>
      <c r="C8" s="5" t="n">
        <f aca="false">D8/12</f>
        <v>-1350</v>
      </c>
      <c r="D8" s="5" t="n">
        <f aca="false">-IF(D3&gt;D16,D16*B8,D3*B8)</f>
        <v>-16200</v>
      </c>
      <c r="E8" s="5"/>
      <c r="F8" s="7" t="s">
        <v>67</v>
      </c>
      <c r="G8" s="4" t="n">
        <v>0.15</v>
      </c>
      <c r="H8" s="5" t="n">
        <f aca="false">I8/12</f>
        <v>-1800</v>
      </c>
      <c r="I8" s="5" t="n">
        <f aca="false">-I5*G8</f>
        <v>-21600</v>
      </c>
    </row>
    <row r="9" customFormat="false" ht="12.75" hidden="false" customHeight="true" outlineLevel="0" collapsed="false">
      <c r="A9" s="7"/>
      <c r="B9" s="4"/>
      <c r="C9" s="5"/>
      <c r="D9" s="5"/>
      <c r="E9" s="5"/>
      <c r="F9" s="7" t="s">
        <v>14</v>
      </c>
      <c r="G9" s="4"/>
      <c r="H9" s="5" t="n">
        <f aca="false">I9/12</f>
        <v>1800</v>
      </c>
      <c r="I9" s="5" t="n">
        <f aca="false">IF(-I8&gt;24840,24840,-I8)</f>
        <v>21600</v>
      </c>
    </row>
    <row r="10" s="16" customFormat="true" ht="12.75" hidden="false" customHeight="true" outlineLevel="0" collapsed="false">
      <c r="A10" s="7"/>
      <c r="B10" s="4"/>
      <c r="C10" s="5"/>
      <c r="D10" s="5"/>
      <c r="E10" s="5"/>
      <c r="F10" s="7" t="s">
        <v>61</v>
      </c>
      <c r="G10" s="4" t="n">
        <v>0.07</v>
      </c>
      <c r="H10" s="5" t="n">
        <f aca="false">I10/12</f>
        <v>0</v>
      </c>
      <c r="I10" s="5" t="n">
        <f aca="false">IF(I5&gt;I17,-(I5-I17)*G10,0)</f>
        <v>0</v>
      </c>
    </row>
    <row r="11" customFormat="false" ht="12.75" hidden="false" customHeight="true" outlineLevel="0" collapsed="false">
      <c r="A11" s="21" t="s">
        <v>20</v>
      </c>
      <c r="B11" s="22"/>
      <c r="C11" s="23" t="n">
        <f aca="false">SUM(C3:C10)</f>
        <v>12740</v>
      </c>
      <c r="D11" s="23" t="n">
        <f aca="false">SUM(D3:D10)</f>
        <v>272880</v>
      </c>
      <c r="E11" s="23"/>
      <c r="F11" s="21" t="s">
        <v>47</v>
      </c>
      <c r="G11" s="22"/>
      <c r="H11" s="23" t="n">
        <f aca="false">H3+SUM(H6:H10)</f>
        <v>15105.6545</v>
      </c>
      <c r="I11" s="23" t="n">
        <f aca="false">I3+SUM(I6:I10)</f>
        <v>301267.854</v>
      </c>
    </row>
    <row r="12" customFormat="false" ht="12.75" hidden="false" customHeight="true" outlineLevel="0" collapsed="false">
      <c r="A12" s="7" t="s">
        <v>22</v>
      </c>
      <c r="B12" s="4" t="n">
        <v>0.25</v>
      </c>
      <c r="C12" s="5" t="n">
        <f aca="false">D12/12</f>
        <v>7500</v>
      </c>
      <c r="D12" s="5" t="n">
        <f aca="false">IF(D3&gt;D15,D15*B12,D3*B12)</f>
        <v>90000</v>
      </c>
      <c r="E12" s="5"/>
      <c r="F12" s="7"/>
      <c r="G12" s="4"/>
      <c r="H12" s="5"/>
      <c r="I12" s="5"/>
    </row>
    <row r="13" s="16" customFormat="true" ht="12.75" hidden="false" customHeight="true" outlineLevel="0" collapsed="false">
      <c r="A13" s="7" t="s">
        <v>24</v>
      </c>
      <c r="B13" s="4" t="n">
        <v>0.09</v>
      </c>
      <c r="C13" s="5" t="n">
        <f aca="false">D13/12</f>
        <v>2700</v>
      </c>
      <c r="D13" s="5" t="n">
        <f aca="false">IF(D3&gt;D16,D16*B13,D3*B13)</f>
        <v>32400</v>
      </c>
      <c r="E13" s="5"/>
      <c r="F13" s="7"/>
      <c r="G13" s="4"/>
      <c r="H13" s="5"/>
      <c r="I13" s="5"/>
    </row>
    <row r="14" customFormat="false" ht="12.75" hidden="false" customHeight="true" outlineLevel="0" collapsed="false">
      <c r="A14" s="24" t="s">
        <v>26</v>
      </c>
      <c r="B14" s="25"/>
      <c r="C14" s="26" t="n">
        <f aca="false">C3+C12+C13</f>
        <v>30200</v>
      </c>
      <c r="D14" s="26" t="n">
        <f aca="false">D3+D12+D13</f>
        <v>482400</v>
      </c>
      <c r="E14" s="26"/>
      <c r="F14" s="24" t="s">
        <v>69</v>
      </c>
      <c r="G14" s="25"/>
      <c r="H14" s="26" t="n">
        <f aca="false">H3</f>
        <v>20000</v>
      </c>
      <c r="I14" s="26" t="n">
        <f aca="false">I3</f>
        <v>360000</v>
      </c>
    </row>
    <row r="15" customFormat="false" ht="12.75" hidden="false" customHeight="true" outlineLevel="0" collapsed="false">
      <c r="A15" s="7" t="s">
        <v>28</v>
      </c>
      <c r="B15" s="28"/>
      <c r="C15" s="29"/>
      <c r="D15" s="29" t="n">
        <f aca="false">'[1]Zamestnanec - Employee - CZK'!E19</f>
        <v>1672080</v>
      </c>
      <c r="E15" s="29"/>
      <c r="F15" s="7" t="s">
        <v>28</v>
      </c>
      <c r="G15" s="28"/>
      <c r="H15" s="29"/>
      <c r="I15" s="29" t="n">
        <f aca="false">'[1]OSVC - sole entrepreneur - CZK'!E20</f>
        <v>1672080</v>
      </c>
    </row>
    <row r="16" customFormat="false" ht="12.75" hidden="false" customHeight="true" outlineLevel="0" collapsed="false">
      <c r="A16" s="7" t="s">
        <v>30</v>
      </c>
      <c r="B16" s="28"/>
      <c r="C16" s="29"/>
      <c r="D16" s="29" t="n">
        <f aca="false">'[1]Zamestnanec - Employee - CZK'!E20</f>
        <v>999999999</v>
      </c>
      <c r="E16" s="29"/>
      <c r="F16" s="7" t="s">
        <v>30</v>
      </c>
      <c r="G16" s="28"/>
      <c r="H16" s="29"/>
      <c r="I16" s="29" t="n">
        <f aca="false">'[1]OSVC - sole entrepreneur - CZK'!E21</f>
        <v>999999999</v>
      </c>
    </row>
    <row r="17" customFormat="false" ht="12.75" hidden="false" customHeight="true" outlineLevel="0" collapsed="false">
      <c r="A17" s="7" t="s">
        <v>63</v>
      </c>
      <c r="B17" s="4"/>
      <c r="C17" s="5"/>
      <c r="D17" s="29" t="n">
        <f aca="false">'[1]Zamestnanec - Employee - CZK'!E21</f>
        <v>1672080</v>
      </c>
      <c r="E17" s="29"/>
      <c r="F17" s="7" t="s">
        <v>63</v>
      </c>
      <c r="G17" s="4"/>
      <c r="H17" s="5"/>
      <c r="I17" s="29" t="n">
        <f aca="false">'[1]OSVC - sole entrepreneur - CZK'!E22</f>
        <v>1672080</v>
      </c>
    </row>
    <row r="18" customFormat="false" ht="12.75" hidden="false" customHeight="true" outlineLevel="0" collapsed="false">
      <c r="F18" s="27" t="s">
        <v>53</v>
      </c>
      <c r="I18" s="29" t="n">
        <f aca="false">'[1]OSVC - sole entrepreneur - CZK'!E23</f>
        <v>104508</v>
      </c>
    </row>
    <row r="19" customFormat="false" ht="12.75" hidden="false" customHeight="true" outlineLevel="0" collapsed="false">
      <c r="F19" s="27" t="s">
        <v>72</v>
      </c>
      <c r="I19" s="29" t="n">
        <f aca="false">'[1]OSVC - sole entrepreneur - CZK'!E24</f>
        <v>209006</v>
      </c>
    </row>
  </sheetData>
  <mergeCells count="2">
    <mergeCell ref="A1:D1"/>
    <mergeCell ref="F1:I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3475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2011-05-26T01:46:40Z</dcterms:created>
  <dc:creator>Miroslava Nebuželská</dc:creator>
  <dc:description/>
  <dc:language>cs-CZ</dc:language>
  <cp:lastModifiedBy/>
  <dcterms:modified xsi:type="dcterms:W3CDTF">2021-01-22T08:31:58Z</dcterms:modified>
  <cp:revision>49</cp:revision>
  <dc:subject/>
  <dc:title/>
</cp:coreProperties>
</file>